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ocalAdmin\Desktop\Personaleomkostninger_april_2022\"/>
    </mc:Choice>
  </mc:AlternateContent>
  <xr:revisionPtr revIDLastSave="0" documentId="13_ncr:1_{C626B0A1-CB77-48F5-B445-00647BB1FE34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Tasteark - Funktionær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C46" i="1"/>
  <c r="C45" i="1"/>
  <c r="C44" i="1"/>
  <c r="D51" i="1"/>
  <c r="D52" i="1"/>
  <c r="D53" i="1"/>
  <c r="D54" i="1"/>
  <c r="D55" i="1"/>
  <c r="D56" i="1"/>
  <c r="D57" i="1"/>
  <c r="D75" i="1"/>
  <c r="D76" i="1" s="1"/>
  <c r="D37" i="1"/>
  <c r="D36" i="1"/>
  <c r="D58" i="1"/>
  <c r="D39" i="1"/>
  <c r="D38" i="1"/>
  <c r="C79" i="1" s="1"/>
  <c r="D35" i="1"/>
  <c r="C47" i="1"/>
  <c r="C72" i="1"/>
  <c r="C58" i="1"/>
  <c r="C50" i="1" l="1"/>
  <c r="D30" i="1" l="1"/>
  <c r="D29" i="1"/>
  <c r="D20" i="1" l="1"/>
  <c r="D12" i="1"/>
  <c r="E12" i="1" s="1"/>
  <c r="D10" i="1"/>
  <c r="E10" i="1" s="1"/>
  <c r="D31" i="1"/>
  <c r="D34" i="1" l="1"/>
  <c r="D33" i="1"/>
  <c r="D42" i="1"/>
  <c r="D11" i="1"/>
  <c r="E11" i="1" s="1"/>
  <c r="D9" i="1"/>
  <c r="C63" i="1" l="1"/>
  <c r="D13" i="1"/>
  <c r="E9" i="1"/>
  <c r="E13" i="1" s="1"/>
  <c r="D15" i="1" l="1"/>
  <c r="D18" i="1"/>
  <c r="C62" i="1" s="1"/>
  <c r="D14" i="1"/>
  <c r="D17" i="1"/>
  <c r="D16" i="1"/>
  <c r="C61" i="1" l="1"/>
  <c r="D19" i="1"/>
  <c r="D21" i="1" s="1"/>
  <c r="D22" i="1" l="1"/>
  <c r="D23" i="1" l="1"/>
  <c r="D72" i="1" l="1"/>
  <c r="D67" i="1"/>
  <c r="D63" i="1"/>
  <c r="D62" i="1"/>
  <c r="D61" i="1"/>
  <c r="E23" i="1"/>
  <c r="D66" i="1"/>
  <c r="D32" i="1"/>
  <c r="C78" i="1" l="1"/>
  <c r="C80" i="1" l="1"/>
  <c r="C81" i="1" l="1"/>
</calcChain>
</file>

<file path=xl/sharedStrings.xml><?xml version="1.0" encoding="utf-8"?>
<sst xmlns="http://schemas.openxmlformats.org/spreadsheetml/2006/main" count="99" uniqueCount="75">
  <si>
    <t>Feriepenge ved fravær</t>
  </si>
  <si>
    <t>AUB, pr. år</t>
  </si>
  <si>
    <t>AES-bidrag og arbejdsskadeafgift</t>
  </si>
  <si>
    <t>Arbejdstid</t>
  </si>
  <si>
    <t>Overenskomstmæssige tillæg og bidrag</t>
  </si>
  <si>
    <t>Satser for offentlige ydelser, refusioner og bidrag</t>
  </si>
  <si>
    <t>Ferietillæg (% af timeløn)</t>
  </si>
  <si>
    <t>Udgifter til lovpligtige forsikringer</t>
  </si>
  <si>
    <t>Pensionsbidrag - arbejdsgiverbetalt (% af løn, alle løndele)</t>
  </si>
  <si>
    <t>DA/LO Udviklingsfond, pr. time - kr (% af løn)</t>
  </si>
  <si>
    <t>Personaleomsætning, gennemsnit pr. år</t>
  </si>
  <si>
    <t>Personaleomsætning</t>
  </si>
  <si>
    <t>Barsel/fædreorlov, % af mulig arbejdstid (timer) pr. år</t>
  </si>
  <si>
    <t>Overenskomstmæssige fridage pr. år (timer og % af årsnorm)</t>
  </si>
  <si>
    <t xml:space="preserve">Ferie, uger (timer og % af årsnorm) </t>
  </si>
  <si>
    <t>Feriefridage (timer og % af årsnorm)</t>
  </si>
  <si>
    <t>SH-dage pr. år (timer og % af årsnorm)</t>
  </si>
  <si>
    <t>Spildtid/værkstedstid i % og timer af mulig arbejdstid efter forventet fravær og uddannelse</t>
  </si>
  <si>
    <t>Årsnorm (arbejdstimer pr. år)</t>
  </si>
  <si>
    <t>Mulige arbejdstimer pr. år efter ferie og fridage (timer pr. år og % af årsnorm)</t>
  </si>
  <si>
    <t>Mulige arbejdstimer pr. år efter ferie, fridage, samt forventet sygefravær, barsel og fædreorlov</t>
  </si>
  <si>
    <t xml:space="preserve">Mulige arbejdstimer pr. år efter ferie, fridage, forventet sygefravær, mv., samt planlagt uddannelse </t>
  </si>
  <si>
    <t>Effektive arbejdstimer pr. år (% af årsnorm)</t>
  </si>
  <si>
    <t>Finansieringsbidrag ATP (kvartalstal omregnet til helår)</t>
  </si>
  <si>
    <t xml:space="preserve">ATP-bidrag (arbejdsgiver) </t>
  </si>
  <si>
    <t>Efteruddannelse</t>
  </si>
  <si>
    <t>Lønomkostninger</t>
  </si>
  <si>
    <t>Fravær - egen sygdom, % af mulig arbejdstid (timer) pr. år</t>
  </si>
  <si>
    <t>Fravær - barns sygdom, % af mulig arbejdstid (timer) pr. år</t>
  </si>
  <si>
    <t>Fravær - arbejdsulykke, % af mulig arbejdstid (timer) pr. år</t>
  </si>
  <si>
    <t>Fravær - andet, % af mulig arbejdstid (timer) pr. år</t>
  </si>
  <si>
    <t>Max. timelønsbetaling ved barns indlæggelse</t>
  </si>
  <si>
    <t>Barselspenge fra Udbetaling Danmark, pr. time</t>
  </si>
  <si>
    <t>Arbejdsmarkedsbidrag (AMBI)</t>
  </si>
  <si>
    <t>Omkostninger pga. manglende refusion (difference ml. virksomhedens udbetaling og refusion)</t>
  </si>
  <si>
    <t>Manglende refusion ved barsel/forældreorlov</t>
  </si>
  <si>
    <t>Refusion ved barsel, pr. time (aftalt timeløn-AM-bidrag)</t>
  </si>
  <si>
    <t>Max. timelønsbetaling ved barns sygdom (uden ferietillæg)</t>
  </si>
  <si>
    <t>(Syge-)dagpengesats (fuldtidsforsikrede) pr. dag (pr. time) (uden ferietillæg)</t>
  </si>
  <si>
    <t>Max. timelønsbetaling ved barsel/forældreorlov (uden ferietillæg)</t>
  </si>
  <si>
    <t xml:space="preserve">Manglende refusion ved sygdom, børns sygdom, ulykke </t>
  </si>
  <si>
    <t>AMU-kursus pris pr. dag</t>
  </si>
  <si>
    <t/>
  </si>
  <si>
    <t>Arbejdsmarkedets Fond for Udstationerede (AFU)</t>
  </si>
  <si>
    <t>Refusion fra TEKNIQ Barsel</t>
  </si>
  <si>
    <t>Bidrag til TEKNIQ Barsel</t>
  </si>
  <si>
    <t>VEU-godtgørelse pr. uddannelsesdag - 100% af dagpengesats</t>
  </si>
  <si>
    <t>TEKNIQ variabelt kontingent, pr. time - % af løn (% af løn incl. alle løndele)</t>
  </si>
  <si>
    <t>direkte</t>
  </si>
  <si>
    <t>indirekte</t>
  </si>
  <si>
    <t>Lønmodtagernes Feriemidler - administrationsbidrag</t>
  </si>
  <si>
    <t>Manglende refusion ved uddannelse (forskel mellem timeløn og refusion fra VEU)</t>
  </si>
  <si>
    <t>Efter-/videreuddannelse (antal uddannelsesdage pr. år og timer)</t>
  </si>
  <si>
    <t>Obligatorisk arbejdsmiljøkursus for arbejdsmiljørepræsentant (3 dage)</t>
  </si>
  <si>
    <t>Arbejdsmiljø og sikkerhed</t>
  </si>
  <si>
    <t xml:space="preserve">Timeløn </t>
  </si>
  <si>
    <t>Virksomhedens tal:</t>
  </si>
  <si>
    <t xml:space="preserve">Virksomhedsbetalt uddannelse, pris pr. dag (gennemsnitlig normpris for AMU-kursus) </t>
  </si>
  <si>
    <t>Samlede personaleomkostninger - kr. pr. løntime</t>
  </si>
  <si>
    <t>1. og 2. ledighedsdag</t>
  </si>
  <si>
    <t>Feriekonto - administrationsbidrag</t>
  </si>
  <si>
    <t>TEKNIQ Arbejdsgiverne/DEF uddannelses- og samarbejdsfond, pr. time - kr. (% af løn)</t>
  </si>
  <si>
    <t>El-Branchens Kompetenceudviklingsfond, pr. medarbejder pr. år</t>
  </si>
  <si>
    <t>Antal overenskomstansatte funktionærer (under elektrikeroverenskomsten)</t>
  </si>
  <si>
    <t>Fritvalgskonto</t>
  </si>
  <si>
    <t>Erhvervsansvarsforsikring, pr. funktionær pr. år</t>
  </si>
  <si>
    <t>Arbejdsskadeforsikring, pr. funktionær pr. år</t>
  </si>
  <si>
    <t>Kursusafgift ifbm. virksomhedsbetalt uddannelse, pr. år pr. funktionær</t>
  </si>
  <si>
    <t>El-Branchens Kompetenceudviklingsfond, pr. funktionær pr. år</t>
  </si>
  <si>
    <t>TEKNIQ grundkontingent pr. år - gennemsnit pr. funktionær (% af løn)</t>
  </si>
  <si>
    <t>Kontingent for medlemskab af lokalforening, pr. år - gennemsnit pr. funktionær (% af løn)</t>
  </si>
  <si>
    <t>Sikkerhedsudstyr og værnemidler, pr. funktionær pr. år (anslået)</t>
  </si>
  <si>
    <t>Direkte personaleomkostninger  - pr. funktionær (%)</t>
  </si>
  <si>
    <t>Indirekte personaleomkostninger  - pr. funktionær (%)</t>
  </si>
  <si>
    <t>Samlede personaleomkostninger - pr. funktionær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</si>
</sst>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#,##0\ &quot;kr.&quot;;\-#,##0\ &quot;kr.&quot;"/>
    <numFmt numFmtId="7" formatCode="#,##0.00\ &quot;kr.&quot;;\-#,##0.00\ &quot;kr.&quot;"/>
    <numFmt numFmtId="42" formatCode="_-* #,##0\ &quot;kr.&quot;_-;\-* #,##0\ &quot;kr.&quot;_-;_-* &quot;-&quot;\ &quot;kr.&quot;_-;_-@_-"/>
    <numFmt numFmtId="164" formatCode="&quot;kr.&quot;\ #,##0;&quot;kr.&quot;\ \-#,##0"/>
    <numFmt numFmtId="165" formatCode="&quot;kr.&quot;\ #,##0.00;&quot;kr.&quot;\ \-#,##0.00"/>
    <numFmt numFmtId="166" formatCode="0.0%"/>
    <numFmt numFmtId="167" formatCode="&quot;kr.&quot;\ #,##0.00"/>
    <numFmt numFmtId="168" formatCode="0.0000%"/>
    <numFmt numFmtId="169" formatCode="0.0"/>
    <numFmt numFmtId="170" formatCode="0.00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Fill="1" applyBorder="1" applyProtection="1"/>
    <xf numFmtId="0" fontId="0" fillId="0" borderId="2" xfId="0" applyBorder="1" applyProtection="1"/>
    <xf numFmtId="0" fontId="0" fillId="0" borderId="0" xfId="0" applyProtection="1"/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6" fontId="0" fillId="0" borderId="3" xfId="0" applyNumberFormat="1" applyFill="1" applyBorder="1" applyProtection="1"/>
    <xf numFmtId="0" fontId="0" fillId="0" borderId="4" xfId="0" applyBorder="1" applyProtection="1"/>
    <xf numFmtId="166" fontId="0" fillId="0" borderId="0" xfId="0" applyNumberFormat="1" applyProtection="1"/>
    <xf numFmtId="2" fontId="0" fillId="0" borderId="0" xfId="0" applyNumberFormat="1" applyProtection="1"/>
    <xf numFmtId="2" fontId="0" fillId="0" borderId="3" xfId="0" applyNumberFormat="1" applyFill="1" applyBorder="1" applyProtection="1"/>
    <xf numFmtId="10" fontId="0" fillId="0" borderId="4" xfId="0" applyNumberFormat="1" applyBorder="1" applyProtection="1"/>
    <xf numFmtId="10" fontId="0" fillId="0" borderId="0" xfId="0" applyNumberFormat="1" applyProtection="1"/>
    <xf numFmtId="2" fontId="3" fillId="0" borderId="3" xfId="0" applyNumberFormat="1" applyFont="1" applyFill="1" applyBorder="1" applyProtection="1"/>
    <xf numFmtId="2" fontId="4" fillId="0" borderId="3" xfId="0" applyNumberFormat="1" applyFont="1" applyFill="1" applyBorder="1" applyProtection="1"/>
    <xf numFmtId="169" fontId="3" fillId="0" borderId="3" xfId="0" applyNumberFormat="1" applyFont="1" applyFill="1" applyBorder="1" applyProtection="1"/>
    <xf numFmtId="10" fontId="0" fillId="0" borderId="3" xfId="0" applyNumberFormat="1" applyFont="1" applyFill="1" applyBorder="1" applyProtection="1"/>
    <xf numFmtId="10" fontId="0" fillId="0" borderId="3" xfId="0" applyNumberFormat="1" applyFill="1" applyBorder="1" applyProtection="1"/>
    <xf numFmtId="167" fontId="0" fillId="0" borderId="0" xfId="0" applyNumberFormat="1" applyProtection="1"/>
    <xf numFmtId="167" fontId="0" fillId="0" borderId="3" xfId="0" applyNumberFormat="1" applyFill="1" applyBorder="1" applyProtection="1"/>
    <xf numFmtId="167" fontId="1" fillId="0" borderId="3" xfId="0" applyNumberFormat="1" applyFont="1" applyFill="1" applyBorder="1" applyProtection="1"/>
    <xf numFmtId="168" fontId="0" fillId="0" borderId="3" xfId="0" applyNumberFormat="1" applyFill="1" applyBorder="1" applyProtection="1"/>
    <xf numFmtId="2" fontId="6" fillId="0" borderId="4" xfId="0" applyNumberFormat="1" applyFont="1" applyFill="1" applyBorder="1" applyProtection="1"/>
    <xf numFmtId="2" fontId="0" fillId="0" borderId="0" xfId="0" applyNumberFormat="1" applyFont="1" applyFill="1" applyProtection="1"/>
    <xf numFmtId="0" fontId="0" fillId="0" borderId="0" xfId="0" applyFont="1" applyProtection="1"/>
    <xf numFmtId="10" fontId="6" fillId="0" borderId="4" xfId="0" applyNumberFormat="1" applyFont="1" applyFill="1" applyBorder="1" applyProtection="1"/>
    <xf numFmtId="0" fontId="6" fillId="0" borderId="0" xfId="0" applyFont="1" applyProtection="1"/>
    <xf numFmtId="0" fontId="7" fillId="0" borderId="8" xfId="0" applyFont="1" applyBorder="1" applyProtection="1"/>
    <xf numFmtId="0" fontId="7" fillId="0" borderId="9" xfId="0" applyFont="1" applyBorder="1" applyProtection="1"/>
    <xf numFmtId="2" fontId="0" fillId="0" borderId="5" xfId="0" applyNumberFormat="1" applyFill="1" applyBorder="1" applyProtection="1"/>
    <xf numFmtId="10" fontId="0" fillId="0" borderId="6" xfId="0" applyNumberFormat="1" applyBorder="1" applyProtection="1"/>
    <xf numFmtId="0" fontId="0" fillId="0" borderId="0" xfId="0" applyBorder="1" applyProtection="1"/>
    <xf numFmtId="2" fontId="0" fillId="0" borderId="0" xfId="0" applyNumberFormat="1" applyFill="1" applyProtection="1"/>
    <xf numFmtId="0" fontId="0" fillId="0" borderId="0" xfId="0" applyFill="1" applyProtection="1"/>
    <xf numFmtId="7" fontId="7" fillId="0" borderId="6" xfId="0" applyNumberFormat="1" applyFont="1" applyBorder="1" applyProtection="1"/>
    <xf numFmtId="0" fontId="0" fillId="0" borderId="7" xfId="0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8" xfId="0" applyBorder="1" applyProtection="1">
      <protection locked="0"/>
    </xf>
    <xf numFmtId="167" fontId="0" fillId="0" borderId="4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10" fontId="0" fillId="0" borderId="4" xfId="0" applyNumberFormat="1" applyFont="1" applyBorder="1" applyProtection="1">
      <protection locked="0"/>
    </xf>
    <xf numFmtId="0" fontId="0" fillId="0" borderId="8" xfId="0" applyFont="1" applyBorder="1" applyProtection="1">
      <protection locked="0"/>
    </xf>
    <xf numFmtId="2" fontId="0" fillId="0" borderId="4" xfId="0" applyNumberFormat="1" applyFont="1" applyBorder="1" applyProtection="1">
      <protection locked="0"/>
    </xf>
    <xf numFmtId="166" fontId="0" fillId="0" borderId="4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3" fillId="0" borderId="8" xfId="0" applyFont="1" applyBorder="1" applyProtection="1">
      <protection locked="0"/>
    </xf>
    <xf numFmtId="166" fontId="0" fillId="0" borderId="4" xfId="0" quotePrefix="1" applyNumberFormat="1" applyFont="1" applyBorder="1" applyProtection="1">
      <protection locked="0"/>
    </xf>
    <xf numFmtId="165" fontId="0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1" fillId="0" borderId="4" xfId="0" applyFont="1" applyBorder="1" applyProtection="1">
      <protection locked="0"/>
    </xf>
    <xf numFmtId="9" fontId="0" fillId="0" borderId="4" xfId="0" applyNumberFormat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0" borderId="4" xfId="0" applyNumberFormat="1" applyBorder="1" applyProtection="1">
      <protection locked="0"/>
    </xf>
    <xf numFmtId="165" fontId="0" fillId="0" borderId="4" xfId="0" applyNumberFormat="1" applyBorder="1" applyAlignment="1" applyProtection="1">
      <alignment horizontal="right"/>
      <protection locked="0"/>
    </xf>
    <xf numFmtId="164" fontId="0" fillId="0" borderId="4" xfId="0" applyNumberFormat="1" applyBorder="1" applyProtection="1">
      <protection locked="0"/>
    </xf>
    <xf numFmtId="0" fontId="6" fillId="0" borderId="8" xfId="0" applyFont="1" applyBorder="1" applyProtection="1">
      <protection locked="0"/>
    </xf>
    <xf numFmtId="167" fontId="6" fillId="0" borderId="4" xfId="1" applyNumberFormat="1" applyFont="1" applyBorder="1" applyProtection="1">
      <protection locked="0"/>
    </xf>
    <xf numFmtId="0" fontId="0" fillId="0" borderId="4" xfId="0" applyFont="1" applyBorder="1" applyProtection="1"/>
    <xf numFmtId="10" fontId="0" fillId="0" borderId="0" xfId="0" applyNumberFormat="1" applyFont="1" applyProtection="1"/>
    <xf numFmtId="2" fontId="0" fillId="0" borderId="0" xfId="0" applyNumberFormat="1" applyFont="1" applyProtection="1"/>
    <xf numFmtId="10" fontId="0" fillId="0" borderId="4" xfId="0" applyNumberFormat="1" applyFont="1" applyBorder="1" applyProtection="1"/>
    <xf numFmtId="10" fontId="4" fillId="0" borderId="10" xfId="0" applyNumberFormat="1" applyFont="1" applyBorder="1"/>
    <xf numFmtId="10" fontId="4" fillId="0" borderId="11" xfId="0" applyNumberFormat="1" applyFont="1" applyBorder="1"/>
    <xf numFmtId="10" fontId="4" fillId="0" borderId="12" xfId="0" applyNumberFormat="1" applyFont="1" applyBorder="1"/>
    <xf numFmtId="42" fontId="4" fillId="0" borderId="10" xfId="0" applyNumberFormat="1" applyFont="1" applyBorder="1"/>
    <xf numFmtId="5" fontId="4" fillId="0" borderId="12" xfId="0" applyNumberFormat="1" applyFont="1" applyBorder="1"/>
    <xf numFmtId="167" fontId="4" fillId="0" borderId="8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0" fillId="0" borderId="4" xfId="0" applyNumberFormat="1" applyFill="1" applyBorder="1" applyProtection="1">
      <protection locked="0"/>
    </xf>
    <xf numFmtId="170" fontId="0" fillId="0" borderId="3" xfId="0" applyNumberFormat="1" applyFill="1" applyBorder="1" applyProtection="1"/>
    <xf numFmtId="9" fontId="0" fillId="0" borderId="3" xfId="0" applyNumberFormat="1" applyFill="1" applyBorder="1" applyProtection="1"/>
    <xf numFmtId="166" fontId="8" fillId="0" borderId="6" xfId="0" applyNumberFormat="1" applyFont="1" applyBorder="1" applyProtection="1"/>
    <xf numFmtId="166" fontId="8" fillId="0" borderId="4" xfId="0" applyNumberFormat="1" applyFont="1" applyBorder="1" applyProtection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topLeftCell="B70" zoomScale="115" zoomScaleNormal="115" workbookViewId="0">
      <selection activeCell="C79" sqref="C79"/>
    </sheetView>
  </sheetViews>
  <sheetFormatPr defaultColWidth="8.69140625" defaultRowHeight="14.6" x14ac:dyDescent="0.4"/>
  <cols>
    <col min="1" max="1" width="0" style="3" hidden="1" customWidth="1"/>
    <col min="2" max="2" width="84.3828125" style="31" customWidth="1"/>
    <col min="3" max="3" width="15.15234375" style="31" customWidth="1"/>
    <col min="4" max="4" width="10.69140625" style="33" customWidth="1"/>
    <col min="5" max="5" width="9.07421875" style="3" customWidth="1"/>
    <col min="6" max="8" width="8.69140625" style="3"/>
    <col min="9" max="9" width="12" style="3" customWidth="1"/>
    <col min="10" max="16384" width="8.69140625" style="3"/>
  </cols>
  <sheetData>
    <row r="1" spans="2:11" ht="15" thickTop="1" x14ac:dyDescent="0.4">
      <c r="B1" s="35"/>
      <c r="C1" s="36" t="s">
        <v>56</v>
      </c>
      <c r="D1" s="1"/>
      <c r="E1" s="2"/>
    </row>
    <row r="2" spans="2:11" x14ac:dyDescent="0.4">
      <c r="B2" s="37" t="s">
        <v>63</v>
      </c>
      <c r="C2" s="38">
        <v>4</v>
      </c>
      <c r="D2" s="4"/>
      <c r="E2" s="5"/>
    </row>
    <row r="3" spans="2:11" x14ac:dyDescent="0.4">
      <c r="B3" s="37"/>
      <c r="C3" s="39"/>
      <c r="D3" s="4"/>
      <c r="E3" s="5"/>
    </row>
    <row r="4" spans="2:11" x14ac:dyDescent="0.4">
      <c r="B4" s="37" t="s">
        <v>26</v>
      </c>
      <c r="C4" s="39"/>
      <c r="D4" s="4"/>
      <c r="E4" s="5"/>
    </row>
    <row r="5" spans="2:11" x14ac:dyDescent="0.4">
      <c r="B5" s="40" t="s">
        <v>55</v>
      </c>
      <c r="C5" s="41">
        <v>208.29</v>
      </c>
      <c r="D5" s="6">
        <v>1</v>
      </c>
      <c r="E5" s="7"/>
      <c r="I5" s="8"/>
    </row>
    <row r="6" spans="2:11" x14ac:dyDescent="0.4">
      <c r="B6" s="40"/>
      <c r="C6" s="38"/>
      <c r="D6" s="6"/>
      <c r="E6" s="7"/>
      <c r="J6" s="8"/>
    </row>
    <row r="7" spans="2:11" x14ac:dyDescent="0.4">
      <c r="B7" s="37" t="s">
        <v>3</v>
      </c>
      <c r="C7" s="38"/>
      <c r="D7" s="6"/>
      <c r="E7" s="7"/>
      <c r="J7" s="8"/>
    </row>
    <row r="8" spans="2:11" x14ac:dyDescent="0.4">
      <c r="B8" s="37" t="s">
        <v>18</v>
      </c>
      <c r="C8" s="42">
        <v>1924</v>
      </c>
      <c r="D8" s="6">
        <v>1</v>
      </c>
      <c r="E8" s="7"/>
      <c r="I8" s="9"/>
      <c r="J8" s="8"/>
    </row>
    <row r="9" spans="2:11" x14ac:dyDescent="0.4">
      <c r="B9" s="40" t="s">
        <v>14</v>
      </c>
      <c r="C9" s="38">
        <v>5</v>
      </c>
      <c r="D9" s="10">
        <f>SUM(C9*37)</f>
        <v>185</v>
      </c>
      <c r="E9" s="11">
        <f>SUM(D9/C8)</f>
        <v>9.6153846153846159E-2</v>
      </c>
      <c r="I9" s="12"/>
      <c r="J9" s="9"/>
    </row>
    <row r="10" spans="2:11" x14ac:dyDescent="0.4">
      <c r="B10" s="40" t="s">
        <v>15</v>
      </c>
      <c r="C10" s="38">
        <v>5</v>
      </c>
      <c r="D10" s="10">
        <f>SUM(C10*7.4)</f>
        <v>37</v>
      </c>
      <c r="E10" s="11">
        <f>SUM(D10/C8)</f>
        <v>1.9230769230769232E-2</v>
      </c>
      <c r="I10" s="12"/>
      <c r="J10" s="9"/>
    </row>
    <row r="11" spans="2:11" x14ac:dyDescent="0.4">
      <c r="B11" s="40" t="s">
        <v>16</v>
      </c>
      <c r="C11" s="38">
        <v>7</v>
      </c>
      <c r="D11" s="10">
        <f>SUM(C11*7.4)</f>
        <v>51.800000000000004</v>
      </c>
      <c r="E11" s="11">
        <f>SUM(D11/C8)</f>
        <v>2.6923076923076925E-2</v>
      </c>
      <c r="I11" s="12"/>
      <c r="J11" s="9"/>
    </row>
    <row r="12" spans="2:11" x14ac:dyDescent="0.4">
      <c r="B12" s="40" t="s">
        <v>13</v>
      </c>
      <c r="C12" s="38">
        <v>0</v>
      </c>
      <c r="D12" s="10">
        <f>SUM(C12*7.4)</f>
        <v>0</v>
      </c>
      <c r="E12" s="11">
        <f>SUM(D12/C8)</f>
        <v>0</v>
      </c>
      <c r="I12" s="12"/>
      <c r="J12" s="9"/>
    </row>
    <row r="13" spans="2:11" x14ac:dyDescent="0.4">
      <c r="B13" s="37" t="s">
        <v>19</v>
      </c>
      <c r="C13" s="38"/>
      <c r="D13" s="13">
        <f>SUM(C8-(D9+D10+D11+D12))</f>
        <v>1650.2</v>
      </c>
      <c r="E13" s="11">
        <f>SUM(D8-(E9+E10+E11+E12))</f>
        <v>0.85769230769230775</v>
      </c>
      <c r="I13" s="12"/>
      <c r="J13" s="9"/>
    </row>
    <row r="14" spans="2:11" s="24" customFormat="1" x14ac:dyDescent="0.4">
      <c r="B14" s="44" t="s">
        <v>27</v>
      </c>
      <c r="C14" s="64">
        <v>2.1999999999999999E-2</v>
      </c>
      <c r="D14" s="14">
        <f>SUM(D13*C14)</f>
        <v>36.304400000000001</v>
      </c>
      <c r="E14" s="60"/>
      <c r="I14" s="61"/>
      <c r="J14" s="62"/>
      <c r="K14" s="61"/>
    </row>
    <row r="15" spans="2:11" s="24" customFormat="1" x14ac:dyDescent="0.4">
      <c r="B15" s="44" t="s">
        <v>28</v>
      </c>
      <c r="C15" s="65">
        <v>1E-3</v>
      </c>
      <c r="D15" s="14">
        <f>SUM(D13*C15)</f>
        <v>1.6502000000000001</v>
      </c>
      <c r="E15" s="60"/>
      <c r="I15" s="61"/>
      <c r="J15" s="62"/>
      <c r="K15" s="61"/>
    </row>
    <row r="16" spans="2:11" s="24" customFormat="1" x14ac:dyDescent="0.4">
      <c r="B16" s="44" t="s">
        <v>29</v>
      </c>
      <c r="C16" s="65">
        <v>0</v>
      </c>
      <c r="D16" s="14">
        <f>SUM(D13*C16)</f>
        <v>0</v>
      </c>
      <c r="E16" s="60"/>
      <c r="I16" s="61"/>
      <c r="J16" s="62"/>
      <c r="K16" s="61"/>
    </row>
    <row r="17" spans="1:11" s="24" customFormat="1" x14ac:dyDescent="0.4">
      <c r="B17" s="44" t="s">
        <v>30</v>
      </c>
      <c r="C17" s="65">
        <v>2E-3</v>
      </c>
      <c r="D17" s="14">
        <f>SUM(D13*C17)</f>
        <v>3.3004000000000002</v>
      </c>
      <c r="E17" s="60"/>
      <c r="I17" s="61"/>
      <c r="J17" s="62"/>
      <c r="K17" s="61"/>
    </row>
    <row r="18" spans="1:11" s="24" customFormat="1" x14ac:dyDescent="0.4">
      <c r="B18" s="44" t="s">
        <v>12</v>
      </c>
      <c r="C18" s="66">
        <v>4.0000000000000001E-3</v>
      </c>
      <c r="D18" s="14">
        <f>SUM(D13*C18)</f>
        <v>6.6008000000000004</v>
      </c>
      <c r="E18" s="63"/>
      <c r="I18" s="61"/>
      <c r="J18" s="62"/>
      <c r="K18" s="61"/>
    </row>
    <row r="19" spans="1:11" x14ac:dyDescent="0.4">
      <c r="B19" s="37" t="s">
        <v>20</v>
      </c>
      <c r="C19" s="43"/>
      <c r="D19" s="13">
        <f>SUM(D13-(D14+D15+D16+D17+D18))</f>
        <v>1602.3442</v>
      </c>
      <c r="E19" s="11"/>
      <c r="I19" s="12"/>
      <c r="J19" s="9"/>
      <c r="K19" s="12"/>
    </row>
    <row r="20" spans="1:11" x14ac:dyDescent="0.4">
      <c r="B20" s="44" t="s">
        <v>52</v>
      </c>
      <c r="C20" s="45">
        <v>5</v>
      </c>
      <c r="D20" s="10">
        <f>SUM(C20*7.4)</f>
        <v>37</v>
      </c>
      <c r="E20" s="11"/>
      <c r="I20" s="12"/>
      <c r="J20" s="9"/>
      <c r="K20" s="12"/>
    </row>
    <row r="21" spans="1:11" x14ac:dyDescent="0.4">
      <c r="B21" s="37" t="s">
        <v>21</v>
      </c>
      <c r="C21" s="45"/>
      <c r="D21" s="13">
        <f>SUM(D19-D20)</f>
        <v>1565.3442</v>
      </c>
      <c r="E21" s="11"/>
      <c r="I21" s="12"/>
      <c r="J21" s="9"/>
      <c r="K21" s="12"/>
    </row>
    <row r="22" spans="1:11" x14ac:dyDescent="0.4">
      <c r="B22" s="40" t="s">
        <v>17</v>
      </c>
      <c r="C22" s="43">
        <v>0.05</v>
      </c>
      <c r="D22" s="10">
        <f>SUM(D21*C22)</f>
        <v>78.267210000000006</v>
      </c>
      <c r="E22" s="11"/>
      <c r="I22" s="12"/>
      <c r="J22" s="9"/>
      <c r="K22" s="12"/>
    </row>
    <row r="23" spans="1:11" x14ac:dyDescent="0.4">
      <c r="B23" s="37" t="s">
        <v>22</v>
      </c>
      <c r="C23" s="46"/>
      <c r="D23" s="15">
        <f>SUM(D21-D22)</f>
        <v>1487.07699</v>
      </c>
      <c r="E23" s="11">
        <f>SUM(D23/C8)</f>
        <v>0.77290903846153847</v>
      </c>
      <c r="I23" s="8"/>
      <c r="J23" s="9"/>
      <c r="K23" s="12"/>
    </row>
    <row r="24" spans="1:11" x14ac:dyDescent="0.4">
      <c r="B24" s="47"/>
      <c r="C24" s="46"/>
      <c r="D24" s="10"/>
      <c r="E24" s="11"/>
      <c r="I24" s="8"/>
      <c r="J24" s="9"/>
      <c r="K24" s="12"/>
    </row>
    <row r="25" spans="1:11" x14ac:dyDescent="0.4">
      <c r="B25" s="48" t="s">
        <v>11</v>
      </c>
      <c r="C25" s="46"/>
      <c r="D25" s="10"/>
      <c r="E25" s="11"/>
      <c r="I25" s="8"/>
      <c r="J25" s="9"/>
      <c r="K25" s="12"/>
    </row>
    <row r="26" spans="1:11" x14ac:dyDescent="0.4">
      <c r="B26" s="40" t="s">
        <v>10</v>
      </c>
      <c r="C26" s="43">
        <v>0.18099999999999999</v>
      </c>
      <c r="D26" s="10"/>
      <c r="E26" s="11"/>
      <c r="I26" s="8"/>
      <c r="J26" s="9"/>
      <c r="K26" s="12"/>
    </row>
    <row r="27" spans="1:11" x14ac:dyDescent="0.4">
      <c r="B27" s="47"/>
      <c r="C27" s="49" t="s">
        <v>42</v>
      </c>
      <c r="D27" s="10"/>
      <c r="E27" s="11"/>
      <c r="I27" s="8"/>
      <c r="J27" s="9"/>
      <c r="K27" s="12"/>
    </row>
    <row r="28" spans="1:11" x14ac:dyDescent="0.4">
      <c r="B28" s="37" t="s">
        <v>4</v>
      </c>
      <c r="C28" s="38"/>
      <c r="D28" s="10"/>
      <c r="E28" s="11"/>
      <c r="J28" s="9"/>
      <c r="K28" s="12"/>
    </row>
    <row r="29" spans="1:11" x14ac:dyDescent="0.4">
      <c r="A29" s="3" t="s">
        <v>48</v>
      </c>
      <c r="B29" s="40" t="s">
        <v>6</v>
      </c>
      <c r="C29" s="64">
        <v>0.01</v>
      </c>
      <c r="D29" s="16">
        <f>SUM(D5*C29)</f>
        <v>0.01</v>
      </c>
      <c r="E29" s="11"/>
      <c r="I29" s="12"/>
      <c r="J29" s="9"/>
      <c r="K29" s="12"/>
    </row>
    <row r="30" spans="1:11" x14ac:dyDescent="0.4">
      <c r="A30" s="3" t="s">
        <v>48</v>
      </c>
      <c r="B30" s="40" t="s">
        <v>64</v>
      </c>
      <c r="C30" s="65">
        <v>7.0000000000000007E-2</v>
      </c>
      <c r="D30" s="16">
        <f>SUM(D5*C30)</f>
        <v>7.0000000000000007E-2</v>
      </c>
      <c r="E30" s="11"/>
      <c r="I30" s="12"/>
      <c r="J30" s="9"/>
      <c r="K30" s="12"/>
    </row>
    <row r="31" spans="1:11" x14ac:dyDescent="0.4">
      <c r="A31" s="3" t="s">
        <v>48</v>
      </c>
      <c r="B31" s="40" t="s">
        <v>8</v>
      </c>
      <c r="C31" s="66">
        <v>0.08</v>
      </c>
      <c r="D31" s="17">
        <f>SUM((D5+C29+C30)*C31)</f>
        <v>8.6400000000000005E-2</v>
      </c>
      <c r="E31" s="11"/>
      <c r="I31" s="12"/>
      <c r="J31" s="9"/>
      <c r="K31" s="12"/>
    </row>
    <row r="32" spans="1:11" x14ac:dyDescent="0.4">
      <c r="A32" s="3" t="s">
        <v>48</v>
      </c>
      <c r="B32" s="40" t="s">
        <v>0</v>
      </c>
      <c r="C32" s="50">
        <v>0</v>
      </c>
      <c r="D32" s="17">
        <f>SUM((C32/(C5*D23)))</f>
        <v>0</v>
      </c>
      <c r="E32" s="11"/>
      <c r="I32" s="12"/>
      <c r="K32" s="12"/>
    </row>
    <row r="33" spans="1:11" x14ac:dyDescent="0.4">
      <c r="A33" s="3" t="s">
        <v>49</v>
      </c>
      <c r="B33" s="40" t="s">
        <v>9</v>
      </c>
      <c r="C33" s="41">
        <v>0.47</v>
      </c>
      <c r="D33" s="17">
        <f>SUM(C33/C5)</f>
        <v>2.2564693456238898E-3</v>
      </c>
      <c r="E33" s="11"/>
      <c r="I33" s="12"/>
      <c r="K33" s="12"/>
    </row>
    <row r="34" spans="1:11" x14ac:dyDescent="0.4">
      <c r="A34" s="3" t="s">
        <v>49</v>
      </c>
      <c r="B34" s="40" t="s">
        <v>61</v>
      </c>
      <c r="C34" s="41">
        <v>0.65</v>
      </c>
      <c r="D34" s="17">
        <f>SUM(C34/C5)</f>
        <v>3.1206490950117629E-3</v>
      </c>
      <c r="E34" s="11"/>
      <c r="I34" s="12"/>
      <c r="K34" s="12"/>
    </row>
    <row r="35" spans="1:11" x14ac:dyDescent="0.4">
      <c r="A35" t="s">
        <v>62</v>
      </c>
      <c r="B35" t="s">
        <v>68</v>
      </c>
      <c r="C35" s="69">
        <v>520</v>
      </c>
      <c r="D35" s="17">
        <f>SUM((C35/(C5*D23)))</f>
        <v>1.6788097003702614E-3</v>
      </c>
      <c r="E35" s="11"/>
      <c r="I35" s="12"/>
      <c r="K35" s="12"/>
    </row>
    <row r="36" spans="1:11" x14ac:dyDescent="0.4">
      <c r="A36" s="3" t="s">
        <v>49</v>
      </c>
      <c r="B36" s="40" t="s">
        <v>69</v>
      </c>
      <c r="C36" s="41">
        <v>4000</v>
      </c>
      <c r="D36" s="17">
        <f>SUM((C36/C2)/(C5*D23))</f>
        <v>3.2284801930197336E-3</v>
      </c>
      <c r="E36" s="11"/>
      <c r="I36" s="12"/>
      <c r="J36" s="9"/>
      <c r="K36" s="12"/>
    </row>
    <row r="37" spans="1:11" x14ac:dyDescent="0.4">
      <c r="A37" s="3" t="s">
        <v>49</v>
      </c>
      <c r="B37" s="40" t="s">
        <v>70</v>
      </c>
      <c r="C37" s="41">
        <v>609</v>
      </c>
      <c r="D37" s="17">
        <f>SUM((C37/C2)/(C5*D23))</f>
        <v>4.9153610938725445E-4</v>
      </c>
      <c r="E37" s="11"/>
      <c r="I37" s="18"/>
      <c r="J37" s="18"/>
      <c r="K37" s="12"/>
    </row>
    <row r="38" spans="1:11" x14ac:dyDescent="0.4">
      <c r="A38" s="3" t="s">
        <v>49</v>
      </c>
      <c r="B38" s="40" t="s">
        <v>47</v>
      </c>
      <c r="C38" s="43">
        <v>2.8E-3</v>
      </c>
      <c r="D38" s="17">
        <f>SUM(D5+C29+C30+C31+D32)*C38</f>
        <v>3.2480000000000005E-3</v>
      </c>
      <c r="E38" s="11"/>
      <c r="J38" s="9"/>
      <c r="K38" s="12"/>
    </row>
    <row r="39" spans="1:11" x14ac:dyDescent="0.4">
      <c r="A39" s="3" t="s">
        <v>49</v>
      </c>
      <c r="B39" s="40" t="s">
        <v>45</v>
      </c>
      <c r="C39" s="43">
        <v>2.3999999999999998E-3</v>
      </c>
      <c r="D39" s="17">
        <f>SUM(D5+C29+C30+C31+D32)*C39</f>
        <v>2.784E-3</v>
      </c>
      <c r="E39" s="11"/>
      <c r="J39" s="9"/>
      <c r="K39" s="12"/>
    </row>
    <row r="40" spans="1:11" x14ac:dyDescent="0.4">
      <c r="B40" s="40"/>
      <c r="C40" s="51"/>
      <c r="D40" s="10"/>
      <c r="E40" s="11"/>
      <c r="J40" s="9"/>
      <c r="K40" s="12"/>
    </row>
    <row r="41" spans="1:11" x14ac:dyDescent="0.4">
      <c r="B41" s="37" t="s">
        <v>5</v>
      </c>
      <c r="C41" s="52"/>
      <c r="D41" s="10"/>
      <c r="E41" s="11"/>
      <c r="I41" s="18"/>
      <c r="J41" s="18"/>
      <c r="K41" s="12"/>
    </row>
    <row r="42" spans="1:11" x14ac:dyDescent="0.4">
      <c r="B42" s="44" t="s">
        <v>33</v>
      </c>
      <c r="C42" s="53">
        <v>0.08</v>
      </c>
      <c r="D42" s="19">
        <f>SUM(C43/7.4)</f>
        <v>120.54054054054053</v>
      </c>
      <c r="E42" s="11"/>
      <c r="I42" s="18"/>
      <c r="J42" s="18"/>
      <c r="K42" s="12"/>
    </row>
    <row r="43" spans="1:11" x14ac:dyDescent="0.4">
      <c r="B43" s="40" t="s">
        <v>38</v>
      </c>
      <c r="C43" s="41">
        <v>892</v>
      </c>
      <c r="D43" s="19"/>
      <c r="E43" s="11"/>
      <c r="I43" s="18"/>
      <c r="J43" s="18"/>
      <c r="K43" s="12"/>
    </row>
    <row r="44" spans="1:11" x14ac:dyDescent="0.4">
      <c r="B44" s="40" t="s">
        <v>37</v>
      </c>
      <c r="C44" s="54">
        <f>C5</f>
        <v>208.29</v>
      </c>
      <c r="D44" s="19"/>
      <c r="E44" s="11"/>
      <c r="I44" s="18"/>
      <c r="J44" s="18"/>
      <c r="K44" s="12"/>
    </row>
    <row r="45" spans="1:11" x14ac:dyDescent="0.4">
      <c r="B45" s="40" t="s">
        <v>39</v>
      </c>
      <c r="C45" s="54">
        <f>C5</f>
        <v>208.29</v>
      </c>
      <c r="D45" s="19"/>
      <c r="E45" s="11"/>
      <c r="I45" s="18"/>
      <c r="J45" s="18"/>
      <c r="K45" s="12"/>
    </row>
    <row r="46" spans="1:11" x14ac:dyDescent="0.4">
      <c r="B46" s="40" t="s">
        <v>31</v>
      </c>
      <c r="C46" s="54">
        <f>C5</f>
        <v>208.29</v>
      </c>
      <c r="D46" s="19"/>
      <c r="E46" s="11"/>
      <c r="I46" s="18"/>
      <c r="J46" s="18"/>
      <c r="K46" s="12"/>
    </row>
    <row r="47" spans="1:11" x14ac:dyDescent="0.4">
      <c r="B47" s="40" t="s">
        <v>32</v>
      </c>
      <c r="C47" s="41">
        <f>C5</f>
        <v>208.29</v>
      </c>
      <c r="D47" s="19"/>
      <c r="E47" s="11"/>
      <c r="I47" s="18"/>
      <c r="J47" s="18"/>
      <c r="K47" s="12"/>
    </row>
    <row r="48" spans="1:11" x14ac:dyDescent="0.4">
      <c r="B48" s="40" t="s">
        <v>44</v>
      </c>
      <c r="C48" s="41">
        <f>SUM(C47-C49)</f>
        <v>0.65000000000000568</v>
      </c>
      <c r="D48" s="20"/>
      <c r="E48" s="11"/>
      <c r="I48" s="18"/>
      <c r="J48" s="18"/>
      <c r="K48" s="12"/>
    </row>
    <row r="49" spans="1:11" x14ac:dyDescent="0.4">
      <c r="B49" s="40" t="s">
        <v>36</v>
      </c>
      <c r="C49" s="41">
        <v>207.64</v>
      </c>
      <c r="D49" s="19"/>
      <c r="E49" s="11"/>
      <c r="I49" s="18"/>
      <c r="J49" s="18"/>
      <c r="K49" s="12"/>
    </row>
    <row r="50" spans="1:11" x14ac:dyDescent="0.4">
      <c r="B50" s="40" t="s">
        <v>46</v>
      </c>
      <c r="C50" s="41">
        <f>C43</f>
        <v>892</v>
      </c>
      <c r="D50" s="17"/>
      <c r="E50" s="11"/>
      <c r="I50" s="12"/>
      <c r="K50" s="12"/>
    </row>
    <row r="51" spans="1:11" x14ac:dyDescent="0.4">
      <c r="A51" s="3" t="s">
        <v>49</v>
      </c>
      <c r="B51" s="40" t="s">
        <v>24</v>
      </c>
      <c r="C51" s="55">
        <v>2390.4</v>
      </c>
      <c r="D51" s="17">
        <f>SUM(C51/(C5*D23))</f>
        <v>7.7173590533943714E-3</v>
      </c>
      <c r="E51" s="11"/>
      <c r="I51" s="12"/>
      <c r="K51" s="12"/>
    </row>
    <row r="52" spans="1:11" x14ac:dyDescent="0.4">
      <c r="A52" s="3" t="s">
        <v>49</v>
      </c>
      <c r="B52" s="40" t="s">
        <v>23</v>
      </c>
      <c r="C52" s="55">
        <v>571</v>
      </c>
      <c r="D52" s="17">
        <f>SUM(C52/(C5*D23))</f>
        <v>1.8434621902142679E-3</v>
      </c>
      <c r="E52" s="11"/>
      <c r="I52" s="12"/>
      <c r="K52" s="12"/>
    </row>
    <row r="53" spans="1:11" x14ac:dyDescent="0.4">
      <c r="A53" s="3" t="s">
        <v>49</v>
      </c>
      <c r="B53" s="40" t="s">
        <v>1</v>
      </c>
      <c r="C53" s="70">
        <v>3213</v>
      </c>
      <c r="D53" s="17">
        <f>SUM(C53/(C5*D23))</f>
        <v>1.0373106860172404E-2</v>
      </c>
      <c r="E53" s="11"/>
      <c r="I53" s="12"/>
      <c r="K53" s="12"/>
    </row>
    <row r="54" spans="1:11" x14ac:dyDescent="0.4">
      <c r="A54" s="3" t="s">
        <v>49</v>
      </c>
      <c r="B54" s="40" t="s">
        <v>2</v>
      </c>
      <c r="C54" s="71">
        <v>996</v>
      </c>
      <c r="D54" s="17">
        <f>SUM(C54/(C5*D23))</f>
        <v>3.2155662722476545E-3</v>
      </c>
      <c r="E54" s="11"/>
      <c r="I54" s="12"/>
      <c r="K54" s="12"/>
    </row>
    <row r="55" spans="1:11" x14ac:dyDescent="0.4">
      <c r="A55" s="3" t="s">
        <v>49</v>
      </c>
      <c r="B55" s="40" t="s">
        <v>43</v>
      </c>
      <c r="C55" s="71">
        <v>7</v>
      </c>
      <c r="D55" s="21">
        <f>SUM(C55/(C5*D23))</f>
        <v>2.2599361351138134E-5</v>
      </c>
      <c r="E55" s="11"/>
      <c r="I55" s="12"/>
      <c r="K55" s="12"/>
    </row>
    <row r="56" spans="1:11" x14ac:dyDescent="0.4">
      <c r="A56" s="3" t="s">
        <v>49</v>
      </c>
      <c r="B56" s="40" t="s">
        <v>50</v>
      </c>
      <c r="C56" s="72">
        <v>19</v>
      </c>
      <c r="D56" s="74">
        <f>SUM(C56/(C5*D23))</f>
        <v>6.1341123667374932E-5</v>
      </c>
      <c r="E56" s="11"/>
      <c r="I56" s="12"/>
      <c r="K56" s="12"/>
    </row>
    <row r="57" spans="1:11" x14ac:dyDescent="0.4">
      <c r="B57" s="40" t="s">
        <v>60</v>
      </c>
      <c r="C57" s="72">
        <v>122.4</v>
      </c>
      <c r="D57" s="17">
        <f>SUM(C57/(C5*D23))</f>
        <v>3.951659756256154E-4</v>
      </c>
      <c r="E57" s="11"/>
      <c r="J57" s="9"/>
      <c r="K57" s="12"/>
    </row>
    <row r="58" spans="1:11" x14ac:dyDescent="0.4">
      <c r="A58" s="3" t="s">
        <v>49</v>
      </c>
      <c r="B58" s="40" t="s">
        <v>59</v>
      </c>
      <c r="C58" s="73">
        <f>SUM(C26*2*C43)</f>
        <v>322.904</v>
      </c>
      <c r="D58" s="17">
        <f>SUM(C58/(C5*D23))</f>
        <v>1.0424891682468439E-3</v>
      </c>
      <c r="E58" s="11"/>
      <c r="J58" s="9"/>
      <c r="K58" s="12"/>
    </row>
    <row r="59" spans="1:11" x14ac:dyDescent="0.4">
      <c r="B59" s="40"/>
      <c r="C59" s="51"/>
      <c r="D59" s="10"/>
      <c r="E59" s="11"/>
      <c r="J59" s="9"/>
      <c r="K59" s="12"/>
    </row>
    <row r="60" spans="1:11" x14ac:dyDescent="0.4">
      <c r="B60" s="37" t="s">
        <v>34</v>
      </c>
      <c r="C60" s="51"/>
      <c r="E60" s="11"/>
      <c r="J60" s="9"/>
      <c r="K60" s="12"/>
    </row>
    <row r="61" spans="1:11" x14ac:dyDescent="0.4">
      <c r="A61" s="3" t="s">
        <v>48</v>
      </c>
      <c r="B61" s="40" t="s">
        <v>40</v>
      </c>
      <c r="C61" s="56">
        <f>SUM(((C5-D42)*D14))+((C5-C44)*D15)+((C5-D42)*D16)+((C5-D42)*D17)</f>
        <v>3475.2997919999998</v>
      </c>
      <c r="D61" s="17">
        <f>SUM(C61/(C5*D23))</f>
        <v>1.12199365432776E-2</v>
      </c>
      <c r="E61" s="11"/>
      <c r="J61" s="9"/>
      <c r="K61" s="12"/>
    </row>
    <row r="62" spans="1:11" x14ac:dyDescent="0.4">
      <c r="A62" s="3" t="s">
        <v>48</v>
      </c>
      <c r="B62" s="40" t="s">
        <v>35</v>
      </c>
      <c r="C62" s="56">
        <f>SUM((C5-C49)*D18)</f>
        <v>4.2905200000000381</v>
      </c>
      <c r="D62" s="17">
        <f>SUM(C62/(C5*D23))</f>
        <v>1.385185883775515E-5</v>
      </c>
      <c r="E62" s="11"/>
      <c r="J62" s="9"/>
      <c r="K62" s="12"/>
    </row>
    <row r="63" spans="1:11" x14ac:dyDescent="0.4">
      <c r="A63" s="3" t="s">
        <v>48</v>
      </c>
      <c r="B63" s="40" t="s">
        <v>51</v>
      </c>
      <c r="C63" s="56">
        <f>SUM((C5-D42)*D20)</f>
        <v>3246.73</v>
      </c>
      <c r="D63" s="17">
        <f>SUM(C63/(C5*D23))</f>
        <v>1.048200349708296E-2</v>
      </c>
      <c r="E63" s="11"/>
      <c r="J63" s="9"/>
      <c r="K63" s="12"/>
    </row>
    <row r="64" spans="1:11" x14ac:dyDescent="0.4">
      <c r="B64" s="40"/>
      <c r="C64" s="51"/>
      <c r="D64" s="10"/>
      <c r="E64" s="11"/>
      <c r="I64" s="12"/>
      <c r="K64" s="12"/>
    </row>
    <row r="65" spans="1:11" x14ac:dyDescent="0.4">
      <c r="B65" s="37" t="s">
        <v>7</v>
      </c>
      <c r="C65" s="51"/>
      <c r="E65" s="11"/>
      <c r="I65" s="12"/>
      <c r="K65" s="12"/>
    </row>
    <row r="66" spans="1:11" x14ac:dyDescent="0.4">
      <c r="A66" s="3" t="s">
        <v>49</v>
      </c>
      <c r="B66" s="40" t="s">
        <v>65</v>
      </c>
      <c r="C66" s="67">
        <v>5835.37</v>
      </c>
      <c r="D66" s="17">
        <f>SUM(C66/(C5*D23))</f>
        <v>1.8839376463941564E-2</v>
      </c>
      <c r="E66" s="11"/>
      <c r="J66" s="9"/>
      <c r="K66" s="12"/>
    </row>
    <row r="67" spans="1:11" x14ac:dyDescent="0.4">
      <c r="A67" s="3" t="s">
        <v>49</v>
      </c>
      <c r="B67" s="40" t="s">
        <v>66</v>
      </c>
      <c r="C67" s="68">
        <v>787.78</v>
      </c>
      <c r="D67" s="17">
        <f>SUM(C67/(C5*D23))</f>
        <v>2.5433321264570854E-3</v>
      </c>
      <c r="E67" s="11"/>
      <c r="J67" s="9"/>
      <c r="K67" s="12"/>
    </row>
    <row r="68" spans="1:11" x14ac:dyDescent="0.4">
      <c r="B68" s="40"/>
      <c r="C68" s="51"/>
      <c r="D68" s="10"/>
      <c r="E68" s="11"/>
      <c r="J68" s="9"/>
      <c r="K68" s="12"/>
    </row>
    <row r="69" spans="1:11" x14ac:dyDescent="0.4">
      <c r="B69" s="37" t="s">
        <v>25</v>
      </c>
      <c r="C69" s="51"/>
      <c r="D69" s="10"/>
      <c r="E69" s="11"/>
      <c r="J69" s="9"/>
      <c r="K69" s="12"/>
    </row>
    <row r="70" spans="1:11" x14ac:dyDescent="0.4">
      <c r="B70" s="37" t="s">
        <v>41</v>
      </c>
      <c r="C70" s="51"/>
      <c r="D70" s="17"/>
      <c r="E70" s="11"/>
      <c r="J70" s="9"/>
      <c r="K70" s="12"/>
    </row>
    <row r="71" spans="1:11" x14ac:dyDescent="0.4">
      <c r="A71" s="3" t="s">
        <v>49</v>
      </c>
      <c r="B71" s="40" t="s">
        <v>57</v>
      </c>
      <c r="C71" s="50">
        <v>160</v>
      </c>
      <c r="E71" s="11"/>
      <c r="J71" s="9"/>
      <c r="K71" s="12"/>
    </row>
    <row r="72" spans="1:11" x14ac:dyDescent="0.4">
      <c r="A72" s="3" t="s">
        <v>49</v>
      </c>
      <c r="B72" s="40" t="s">
        <v>67</v>
      </c>
      <c r="C72" s="50">
        <f>SUM((C71*C20)+700)</f>
        <v>1500</v>
      </c>
      <c r="D72" s="17">
        <f>SUM(C72/(C5*D23))</f>
        <v>4.8427202895296E-3</v>
      </c>
      <c r="E72" s="11"/>
      <c r="I72" s="12"/>
      <c r="K72" s="12"/>
    </row>
    <row r="73" spans="1:11" x14ac:dyDescent="0.4">
      <c r="B73" s="40"/>
      <c r="C73" s="51"/>
      <c r="D73" s="17"/>
      <c r="E73" s="11"/>
      <c r="I73" s="12"/>
      <c r="K73" s="12"/>
    </row>
    <row r="74" spans="1:11" s="24" customFormat="1" x14ac:dyDescent="0.4">
      <c r="A74" s="3"/>
      <c r="B74" s="37" t="s">
        <v>54</v>
      </c>
      <c r="C74" s="57"/>
      <c r="E74" s="22"/>
      <c r="F74" s="23"/>
    </row>
    <row r="75" spans="1:11" s="24" customFormat="1" x14ac:dyDescent="0.4">
      <c r="A75" s="3" t="s">
        <v>49</v>
      </c>
      <c r="B75" s="58" t="s">
        <v>53</v>
      </c>
      <c r="C75" s="59">
        <v>182</v>
      </c>
      <c r="D75" s="17">
        <f>SUM(C75/(C5*D23))</f>
        <v>5.8758339512959151E-4</v>
      </c>
      <c r="E75" s="25"/>
      <c r="F75" s="23"/>
      <c r="G75" s="26"/>
    </row>
    <row r="76" spans="1:11" x14ac:dyDescent="0.4">
      <c r="A76" s="24" t="s">
        <v>49</v>
      </c>
      <c r="B76" s="58" t="s">
        <v>71</v>
      </c>
      <c r="C76" s="59">
        <v>0</v>
      </c>
      <c r="D76" s="75">
        <f>SUM(C76/(C5*D23)-D75)</f>
        <v>-5.8758339512959151E-4</v>
      </c>
      <c r="E76" s="7"/>
    </row>
    <row r="77" spans="1:11" x14ac:dyDescent="0.4">
      <c r="B77" s="40"/>
      <c r="C77" s="51"/>
      <c r="D77" s="10"/>
      <c r="E77" s="11"/>
    </row>
    <row r="78" spans="1:11" ht="18.45" x14ac:dyDescent="0.5">
      <c r="B78" s="27" t="s">
        <v>72</v>
      </c>
      <c r="C78" s="77">
        <f>SUM(D29:D32,D61,D63)</f>
        <v>0.18810194004036054</v>
      </c>
      <c r="D78" s="10"/>
      <c r="E78" s="11"/>
    </row>
    <row r="79" spans="1:11" ht="18.899999999999999" thickBot="1" x14ac:dyDescent="0.55000000000000004">
      <c r="B79" s="27" t="s">
        <v>73</v>
      </c>
      <c r="C79" s="77">
        <f>SUM(D33:D39,D51:D58,D66:D67,D72,D75,D76)</f>
        <v>6.7704463328260842E-2</v>
      </c>
      <c r="D79" s="29"/>
      <c r="E79" s="30"/>
    </row>
    <row r="80" spans="1:11" ht="19.3" thickTop="1" thickBot="1" x14ac:dyDescent="0.55000000000000004">
      <c r="B80" s="28" t="s">
        <v>74</v>
      </c>
      <c r="C80" s="76">
        <f>SUM(C78:C79)</f>
        <v>0.25580640336862137</v>
      </c>
      <c r="D80" s="29"/>
      <c r="E80" s="30"/>
    </row>
    <row r="81" spans="2:5" ht="19.3" thickTop="1" thickBot="1" x14ac:dyDescent="0.55000000000000004">
      <c r="B81" s="28" t="s">
        <v>58</v>
      </c>
      <c r="C81" s="34">
        <f>SUM(C5*C80)+C5</f>
        <v>261.57191575765012</v>
      </c>
      <c r="D81" s="32"/>
      <c r="E81" s="12"/>
    </row>
    <row r="82" spans="2:5" ht="15" thickTop="1" x14ac:dyDescent="0.4">
      <c r="D82" s="32"/>
      <c r="E82" s="12"/>
    </row>
    <row r="83" spans="2:5" x14ac:dyDescent="0.4">
      <c r="D83" s="32"/>
      <c r="E83" s="12"/>
    </row>
    <row r="84" spans="2:5" x14ac:dyDescent="0.4">
      <c r="D84" s="32"/>
      <c r="E84" s="12"/>
    </row>
    <row r="85" spans="2:5" x14ac:dyDescent="0.4">
      <c r="D85" s="32"/>
      <c r="E85" s="12"/>
    </row>
    <row r="86" spans="2:5" x14ac:dyDescent="0.4">
      <c r="D86" s="3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Tasteark - Funktionærer</vt:lpstr>
    </vt:vector>
  </TitlesOfParts>
  <Company>TEKNIQ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Hove</dc:creator>
  <cp:lastModifiedBy>LocalAdmin</cp:lastModifiedBy>
  <cp:lastPrinted>2020-04-29T13:13:56Z</cp:lastPrinted>
  <dcterms:created xsi:type="dcterms:W3CDTF">2016-06-09T07:44:16Z</dcterms:created>
  <dcterms:modified xsi:type="dcterms:W3CDTF">2022-04-13T07:40:05Z</dcterms:modified>
</cp:coreProperties>
</file>